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sro-my.sharepoint.com/personal/susan_richardson_ssro_gov_uk/Documents/Desktop/"/>
    </mc:Choice>
  </mc:AlternateContent>
  <xr:revisionPtr revIDLastSave="0" documentId="8_{DDA548D1-A3B8-414B-845C-00D544548498}" xr6:coauthVersionLast="47" xr6:coauthVersionMax="47" xr10:uidLastSave="{00000000-0000-0000-0000-000000000000}"/>
  <bookViews>
    <workbookView xWindow="-120" yWindow="-120" windowWidth="38640" windowHeight="21120" xr2:uid="{771A2317-592A-4B0D-8288-100F78F01842}"/>
  </bookViews>
  <sheets>
    <sheet name="Firm Price" sheetId="1" r:id="rId1"/>
  </sheets>
  <definedNames>
    <definedName name="_xlnm.Print_Area" localSheetId="0">'Firm Price'!$A$1:$I$74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C18" i="1"/>
  <c r="C7" i="1" s="1"/>
  <c r="D21" i="1"/>
  <c r="C54" i="1"/>
  <c r="F48" i="1"/>
  <c r="C34" i="1"/>
  <c r="C9" i="1" l="1"/>
  <c r="C22" i="1"/>
  <c r="C20" i="1"/>
  <c r="C26" i="1"/>
  <c r="C27" i="1" s="1"/>
  <c r="H36" i="1" s="1"/>
  <c r="G38" i="1" l="1"/>
  <c r="G39" i="1"/>
  <c r="C28" i="1"/>
  <c r="C30" i="1" s="1"/>
  <c r="C29" i="1" l="1"/>
  <c r="D36" i="1"/>
  <c r="C23" i="1"/>
  <c r="C41" i="1" l="1"/>
  <c r="C40" i="1"/>
  <c r="C39" i="1"/>
  <c r="C38" i="1"/>
  <c r="C42" i="1" l="1"/>
  <c r="F45" i="1" s="1"/>
  <c r="C52" i="1" s="1"/>
  <c r="C55" i="1" s="1"/>
  <c r="C56" i="1" s="1"/>
  <c r="C57" i="1" s="1"/>
</calcChain>
</file>

<file path=xl/sharedStrings.xml><?xml version="1.0" encoding="utf-8"?>
<sst xmlns="http://schemas.openxmlformats.org/spreadsheetml/2006/main" count="56" uniqueCount="53">
  <si>
    <t>SSRO Final price adjustment calculator: DRAFT FOR CONSULTATION ONLY</t>
  </si>
  <si>
    <t>INPUT CELL</t>
  </si>
  <si>
    <t>QDC or QSC?</t>
  </si>
  <si>
    <t>QDC</t>
  </si>
  <si>
    <t>Use notes</t>
  </si>
  <si>
    <t>Contract or component value (£)</t>
  </si>
  <si>
    <t>Note exclusions apply - see guidance</t>
  </si>
  <si>
    <r>
      <rPr>
        <sz val="11"/>
        <color rgb="FF000000"/>
        <rFont val="Arial"/>
        <family val="2"/>
      </rPr>
      <t xml:space="preserve">
This calculator should be used in conjuctions with the SSRO's guidance on the final price adjustment, published on the our website.
It can be used to calculate the FPA for a contract, a components or a group of components, by entering the relevant inputs into the cells highlighted in </t>
    </r>
    <r>
      <rPr>
        <b/>
        <sz val="11"/>
        <color rgb="FF000000"/>
        <rFont val="Arial"/>
        <family val="2"/>
      </rPr>
      <t>yellow</t>
    </r>
    <r>
      <rPr>
        <sz val="11"/>
        <color rgb="FF000000"/>
        <rFont val="Arial"/>
        <family val="2"/>
      </rPr>
      <t xml:space="preserve">. For example, when using this caculator for a component, the value, profit rate and allowable costs etc should be those which relate to the component subject the adjustment. </t>
    </r>
    <r>
      <rPr>
        <b/>
        <sz val="11"/>
        <color rgb="FF000000"/>
        <rFont val="Arial"/>
        <family val="2"/>
      </rPr>
      <t>All yellow input cells must be completed accrurately when using this calculator</t>
    </r>
    <r>
      <rPr>
        <sz val="11"/>
        <color rgb="FF000000"/>
        <rFont val="Arial"/>
        <family val="2"/>
      </rPr>
      <t>.
This calculator can only be used for contracts or components using the fixed, firm or volume-driven contract pricing methods. These are the only contract pricing methods to which an FPA may apply.</t>
    </r>
  </si>
  <si>
    <t>Contract or component price (£)</t>
  </si>
  <si>
    <t>Contract or component Allowable Costs (£)</t>
  </si>
  <si>
    <t>Contract or compoment profit (£)</t>
  </si>
  <si>
    <t>Step 1 - Baseline Profit Rate</t>
  </si>
  <si>
    <t>Step 2 - Cost Risk Adjustment.</t>
  </si>
  <si>
    <t>Step 3 - Incentive Adjustment (up to 2pp)</t>
  </si>
  <si>
    <t>Step 4 - Capital Servicing Adjustment</t>
  </si>
  <si>
    <t>Contract Profit Rate (for contract or component)</t>
  </si>
  <si>
    <t xml:space="preserve">Price </t>
  </si>
  <si>
    <t>Outturn Costs</t>
  </si>
  <si>
    <t>Outturn Profit</t>
  </si>
  <si>
    <t>Outturn Profit Rate</t>
  </si>
  <si>
    <t>Outturn Profit excl Step 3</t>
  </si>
  <si>
    <t>Outturn Price excl Step 3</t>
  </si>
  <si>
    <t>Outturn Profit Rate excl Step 3</t>
  </si>
  <si>
    <t>Value of qualifying defence contract greater than £5,000,000 (S21.4.b)(Reg 16.1)?</t>
  </si>
  <si>
    <t>Value of qualifying sub-contract greater than £50,000,000 (S21.4.b)(Reg 16.1)(Reg 65.8.a.i)?</t>
  </si>
  <si>
    <t>Outturn profit rate exceeds the contract profit rate?</t>
  </si>
  <si>
    <t>OR</t>
  </si>
  <si>
    <t>Outturn costs exceed the contract price?</t>
  </si>
  <si>
    <t>Difference</t>
  </si>
  <si>
    <t>Reg 17.6.d</t>
  </si>
  <si>
    <t>Excess Level 1</t>
  </si>
  <si>
    <t>Reg 17.6.a-c</t>
  </si>
  <si>
    <t>Loss level</t>
  </si>
  <si>
    <t>Excess Level 2</t>
  </si>
  <si>
    <t>Excess Level 3</t>
  </si>
  <si>
    <t>Reg 17.5</t>
  </si>
  <si>
    <t>Adjustment</t>
  </si>
  <si>
    <t>Reg 17.2-4</t>
  </si>
  <si>
    <t>Final price adjustment at least £250,000 (Reg 16.4)</t>
  </si>
  <si>
    <t>Contract is not a QSC (Reg 65.8.b), and</t>
  </si>
  <si>
    <t>Contract is within the value that the direction in accordance with S21.5 of the Act can be applied? (Reg 16.2)</t>
  </si>
  <si>
    <t>Secretary of State directs that Final Price Adjustment shall not apply? (S21.5)</t>
  </si>
  <si>
    <t>Adjusted contract or compoment price</t>
  </si>
  <si>
    <t>Adjusted outturn profit rate</t>
  </si>
  <si>
    <t>For contracts/components placed or amended before 1 April 2024</t>
  </si>
  <si>
    <t>SSRO Funding adjustment (negative value)</t>
  </si>
  <si>
    <t>POCO adjustment (negative value)</t>
  </si>
  <si>
    <t>Contract Profit Rate excl Step 3</t>
  </si>
  <si>
    <t>Contract Price excl Step 3</t>
  </si>
  <si>
    <t>Exclude Step 3 (Reg 17.6.i)</t>
  </si>
  <si>
    <t>Adjusted outturn profit/(loss)</t>
  </si>
  <si>
    <t>Final Price Adjustment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</si>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</sst>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_-;_-@_-"/>
    <numFmt numFmtId="166" formatCode="0.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b/>
      <u/>
      <sz val="16"/>
      <color rgb="FFFF000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2" fillId="0" borderId="3" xfId="0" applyFont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64" fontId="2" fillId="2" borderId="0" xfId="1" applyNumberFormat="1" applyFont="1" applyFill="1" applyBorder="1" applyAlignment="1">
      <alignment vertical="top"/>
    </xf>
    <xf numFmtId="0" fontId="2" fillId="0" borderId="7" xfId="0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0" fontId="4" fillId="0" borderId="7" xfId="0" applyFont="1" applyBorder="1" applyAlignment="1">
      <alignment vertical="top"/>
    </xf>
    <xf numFmtId="164" fontId="2" fillId="0" borderId="0" xfId="2" applyNumberFormat="1" applyFont="1" applyBorder="1" applyAlignment="1">
      <alignment vertical="top"/>
    </xf>
    <xf numFmtId="10" fontId="2" fillId="2" borderId="0" xfId="2" applyNumberFormat="1" applyFont="1" applyFill="1" applyBorder="1" applyAlignment="1">
      <alignment vertical="top"/>
    </xf>
    <xf numFmtId="10" fontId="2" fillId="2" borderId="0" xfId="0" applyNumberFormat="1" applyFont="1" applyFill="1" applyAlignment="1">
      <alignment vertical="top"/>
    </xf>
    <xf numFmtId="10" fontId="2" fillId="0" borderId="0" xfId="0" applyNumberFormat="1" applyFont="1" applyFill="1" applyAlignment="1">
      <alignment vertical="top"/>
    </xf>
    <xf numFmtId="0" fontId="3" fillId="0" borderId="7" xfId="0" applyFont="1" applyBorder="1" applyAlignment="1">
      <alignment vertical="top" wrapText="1"/>
    </xf>
    <xf numFmtId="10" fontId="2" fillId="0" borderId="2" xfId="0" applyNumberFormat="1" applyFont="1" applyBorder="1" applyAlignment="1">
      <alignment vertical="top"/>
    </xf>
    <xf numFmtId="166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0" fontId="2" fillId="0" borderId="7" xfId="0" applyNumberFormat="1" applyFont="1" applyBorder="1" applyAlignment="1" applyProtection="1">
      <alignment vertical="top"/>
      <protection locked="0"/>
    </xf>
    <xf numFmtId="10" fontId="2" fillId="0" borderId="0" xfId="0" applyNumberFormat="1" applyFont="1" applyAlignment="1">
      <alignment vertical="top"/>
    </xf>
    <xf numFmtId="10" fontId="2" fillId="0" borderId="0" xfId="2" applyNumberFormat="1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10" fontId="2" fillId="0" borderId="9" xfId="2" applyNumberFormat="1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6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164" fontId="7" fillId="3" borderId="4" xfId="0" applyNumberFormat="1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11" fillId="3" borderId="0" xfId="0" applyFont="1" applyFill="1" applyAlignment="1">
      <alignment vertical="top"/>
    </xf>
    <xf numFmtId="0" fontId="7" fillId="3" borderId="7" xfId="0" applyFont="1" applyFill="1" applyBorder="1" applyAlignment="1">
      <alignment vertical="top"/>
    </xf>
    <xf numFmtId="165" fontId="7" fillId="3" borderId="0" xfId="0" applyNumberFormat="1" applyFont="1" applyFill="1" applyAlignment="1">
      <alignment vertical="top"/>
    </xf>
    <xf numFmtId="0" fontId="6" fillId="3" borderId="7" xfId="0" applyFont="1" applyFill="1" applyBorder="1" applyAlignment="1">
      <alignment vertical="top"/>
    </xf>
    <xf numFmtId="164" fontId="7" fillId="3" borderId="0" xfId="1" applyNumberFormat="1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0" fontId="6" fillId="3" borderId="7" xfId="0" applyFont="1" applyFill="1" applyBorder="1" applyAlignment="1">
      <alignment horizontal="left" vertical="top"/>
    </xf>
    <xf numFmtId="164" fontId="7" fillId="3" borderId="2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164" fontId="7" fillId="3" borderId="9" xfId="1" applyNumberFormat="1" applyFont="1" applyFill="1" applyBorder="1" applyAlignment="1">
      <alignment vertical="top"/>
    </xf>
    <xf numFmtId="0" fontId="6" fillId="3" borderId="10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/>
    </xf>
    <xf numFmtId="0" fontId="6" fillId="3" borderId="11" xfId="0" applyFont="1" applyFill="1" applyBorder="1" applyAlignment="1">
      <alignment vertical="top"/>
    </xf>
    <xf numFmtId="0" fontId="7" fillId="3" borderId="2" xfId="0" applyFont="1" applyFill="1" applyBorder="1" applyAlignment="1">
      <alignment vertical="top"/>
    </xf>
    <xf numFmtId="0" fontId="7" fillId="3" borderId="12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7" fillId="3" borderId="13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6" fillId="3" borderId="14" xfId="0" applyFont="1" applyFill="1" applyBorder="1" applyAlignment="1">
      <alignment vertical="top"/>
    </xf>
    <xf numFmtId="0" fontId="7" fillId="3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horizontal="center" vertical="top"/>
    </xf>
    <xf numFmtId="164" fontId="6" fillId="3" borderId="17" xfId="0" applyNumberFormat="1" applyFont="1" applyFill="1" applyBorder="1" applyAlignment="1">
      <alignment vertical="top"/>
    </xf>
    <xf numFmtId="43" fontId="7" fillId="3" borderId="13" xfId="0" applyNumberFormat="1" applyFont="1" applyFill="1" applyBorder="1" applyAlignment="1">
      <alignment vertical="top"/>
    </xf>
    <xf numFmtId="164" fontId="7" fillId="3" borderId="13" xfId="0" applyNumberFormat="1" applyFont="1" applyFill="1" applyBorder="1" applyAlignment="1">
      <alignment vertical="top"/>
    </xf>
    <xf numFmtId="0" fontId="7" fillId="3" borderId="14" xfId="0" applyFont="1" applyFill="1" applyBorder="1" applyAlignment="1">
      <alignment vertical="top"/>
    </xf>
    <xf numFmtId="10" fontId="7" fillId="3" borderId="16" xfId="2" applyNumberFormat="1" applyFont="1" applyFill="1" applyBorder="1" applyAlignment="1">
      <alignment vertical="top"/>
    </xf>
    <xf numFmtId="10" fontId="7" fillId="3" borderId="0" xfId="2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6" fillId="3" borderId="7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00"/>
      <color rgb="FF33CCCC"/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SRO">
  <a:themeElements>
    <a:clrScheme name="SSRO cor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6A38"/>
      </a:accent1>
      <a:accent2>
        <a:srgbClr val="005EB8"/>
      </a:accent2>
      <a:accent3>
        <a:srgbClr val="C69214"/>
      </a:accent3>
      <a:accent4>
        <a:srgbClr val="6E6259"/>
      </a:accent4>
      <a:accent5>
        <a:srgbClr val="7A4183"/>
      </a:accent5>
      <a:accent6>
        <a:srgbClr val="D2263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3F63-3679-4B9E-9E83-138AEDE98F56}">
  <sheetPr>
    <tabColor theme="5" tint="0.79998168889431442"/>
  </sheetPr>
  <dimension ref="A2:H57"/>
  <sheetViews>
    <sheetView showGridLines="0" tabSelected="1" zoomScale="96" zoomScaleNormal="96" workbookViewId="0">
      <selection activeCell="G39" sqref="G39"/>
    </sheetView>
  </sheetViews>
  <sheetFormatPr defaultColWidth="9.140625" defaultRowHeight="14.25" x14ac:dyDescent="0.25"/>
  <cols>
    <col min="1" max="1" width="13.140625" style="2" bestFit="1" customWidth="1"/>
    <col min="2" max="2" width="44.85546875" style="2" customWidth="1"/>
    <col min="3" max="3" width="18.5703125" style="2" bestFit="1" customWidth="1"/>
    <col min="4" max="4" width="42.140625" style="2" customWidth="1"/>
    <col min="5" max="5" width="10.5703125" style="2" bestFit="1" customWidth="1"/>
    <col min="6" max="6" width="25.42578125" style="2" customWidth="1"/>
    <col min="7" max="7" width="18.5703125" style="2" customWidth="1"/>
    <col min="8" max="8" width="12.7109375" style="2" customWidth="1"/>
    <col min="9" max="16384" width="9.140625" style="2"/>
  </cols>
  <sheetData>
    <row r="2" spans="2:8" ht="20.25" x14ac:dyDescent="0.25">
      <c r="B2" s="1" t="s">
        <v>0</v>
      </c>
    </row>
    <row r="3" spans="2:8" ht="20.25" x14ac:dyDescent="0.25">
      <c r="B3" s="3"/>
      <c r="C3" s="4" t="s">
        <v>1</v>
      </c>
    </row>
    <row r="4" spans="2:8" ht="15" thickBot="1" x14ac:dyDescent="0.3"/>
    <row r="5" spans="2:8" ht="15.75" thickTop="1" x14ac:dyDescent="0.25">
      <c r="B5" s="5" t="s">
        <v>2</v>
      </c>
      <c r="C5" s="6" t="s">
        <v>3</v>
      </c>
      <c r="D5" s="7"/>
      <c r="F5" s="8" t="s">
        <v>4</v>
      </c>
      <c r="G5" s="9"/>
      <c r="H5" s="7"/>
    </row>
    <row r="6" spans="2:8" x14ac:dyDescent="0.25">
      <c r="B6" s="10" t="s">
        <v>5</v>
      </c>
      <c r="C6" s="11">
        <v>100000000</v>
      </c>
      <c r="D6" s="12" t="s">
        <v>6</v>
      </c>
      <c r="F6" s="67" t="s">
        <v>7</v>
      </c>
      <c r="G6" s="68"/>
      <c r="H6" s="69"/>
    </row>
    <row r="7" spans="2:8" x14ac:dyDescent="0.25">
      <c r="B7" s="10" t="s">
        <v>8</v>
      </c>
      <c r="C7" s="13">
        <f>(C8*C18)+C8</f>
        <v>113500000</v>
      </c>
      <c r="D7" s="14"/>
      <c r="F7" s="70"/>
      <c r="G7" s="68"/>
      <c r="H7" s="69"/>
    </row>
    <row r="8" spans="2:8" x14ac:dyDescent="0.25">
      <c r="B8" s="10" t="s">
        <v>9</v>
      </c>
      <c r="C8" s="11">
        <v>100000000</v>
      </c>
      <c r="D8" s="12"/>
      <c r="F8" s="70"/>
      <c r="G8" s="68"/>
      <c r="H8" s="69"/>
    </row>
    <row r="9" spans="2:8" x14ac:dyDescent="0.25">
      <c r="B9" s="10" t="s">
        <v>10</v>
      </c>
      <c r="C9" s="15">
        <f>C7-C8</f>
        <v>13500000</v>
      </c>
      <c r="D9" s="12"/>
      <c r="F9" s="70"/>
      <c r="G9" s="68"/>
      <c r="H9" s="69"/>
    </row>
    <row r="10" spans="2:8" x14ac:dyDescent="0.25">
      <c r="B10" s="10"/>
      <c r="C10" s="15"/>
      <c r="D10" s="12"/>
      <c r="F10" s="70"/>
      <c r="G10" s="68"/>
      <c r="H10" s="69"/>
    </row>
    <row r="11" spans="2:8" ht="14.25" customHeight="1" x14ac:dyDescent="0.25">
      <c r="B11" s="10"/>
      <c r="C11" s="16">
        <v>0.08</v>
      </c>
      <c r="D11" s="12" t="s">
        <v>11</v>
      </c>
      <c r="F11" s="70"/>
      <c r="G11" s="68"/>
      <c r="H11" s="69"/>
    </row>
    <row r="12" spans="2:8" x14ac:dyDescent="0.25">
      <c r="B12" s="10"/>
      <c r="C12" s="16">
        <v>0.02</v>
      </c>
      <c r="D12" s="12" t="s">
        <v>12</v>
      </c>
      <c r="F12" s="70"/>
      <c r="G12" s="68"/>
      <c r="H12" s="69"/>
    </row>
    <row r="13" spans="2:8" x14ac:dyDescent="0.25">
      <c r="B13" s="10"/>
      <c r="C13" s="17">
        <v>0.02</v>
      </c>
      <c r="D13" s="12" t="s">
        <v>13</v>
      </c>
      <c r="F13" s="70"/>
      <c r="G13" s="68"/>
      <c r="H13" s="69"/>
    </row>
    <row r="14" spans="2:8" x14ac:dyDescent="0.25">
      <c r="B14" s="10"/>
      <c r="C14" s="17">
        <v>1.4999999999999999E-2</v>
      </c>
      <c r="D14" s="12" t="s">
        <v>14</v>
      </c>
      <c r="F14" s="70"/>
      <c r="G14" s="68"/>
      <c r="H14" s="69"/>
    </row>
    <row r="15" spans="2:8" ht="30" x14ac:dyDescent="0.25">
      <c r="B15" s="10"/>
      <c r="C15" s="18"/>
      <c r="D15" s="19" t="s">
        <v>44</v>
      </c>
      <c r="F15" s="70"/>
      <c r="G15" s="68"/>
      <c r="H15" s="69"/>
    </row>
    <row r="16" spans="2:8" x14ac:dyDescent="0.25">
      <c r="B16" s="10"/>
      <c r="C16" s="17"/>
      <c r="D16" s="12" t="s">
        <v>46</v>
      </c>
      <c r="F16" s="70"/>
      <c r="G16" s="68"/>
      <c r="H16" s="69"/>
    </row>
    <row r="17" spans="2:8" x14ac:dyDescent="0.25">
      <c r="B17" s="10"/>
      <c r="C17" s="17"/>
      <c r="D17" s="12" t="s">
        <v>45</v>
      </c>
      <c r="F17" s="70"/>
      <c r="G17" s="68"/>
      <c r="H17" s="69"/>
    </row>
    <row r="18" spans="2:8" x14ac:dyDescent="0.25">
      <c r="B18" s="10" t="s">
        <v>15</v>
      </c>
      <c r="C18" s="20">
        <f>SUM(C11:C17)</f>
        <v>0.13500000000000001</v>
      </c>
      <c r="D18" s="12"/>
      <c r="E18" s="21"/>
      <c r="F18" s="70"/>
      <c r="G18" s="68"/>
      <c r="H18" s="69"/>
    </row>
    <row r="19" spans="2:8" x14ac:dyDescent="0.25">
      <c r="B19" s="10"/>
      <c r="D19" s="12"/>
      <c r="F19" s="70"/>
      <c r="G19" s="68"/>
      <c r="H19" s="69"/>
    </row>
    <row r="20" spans="2:8" x14ac:dyDescent="0.25">
      <c r="B20" s="10" t="s">
        <v>16</v>
      </c>
      <c r="C20" s="22">
        <f>(C8*C18)+C8</f>
        <v>113500000</v>
      </c>
      <c r="D20" s="12"/>
      <c r="F20" s="70"/>
      <c r="G20" s="68"/>
      <c r="H20" s="69"/>
    </row>
    <row r="21" spans="2:8" x14ac:dyDescent="0.25">
      <c r="B21" s="10" t="s">
        <v>17</v>
      </c>
      <c r="C21" s="11">
        <v>120000000</v>
      </c>
      <c r="D21" s="23" t="str">
        <f>(100*C21/C8)&amp;"% of allowable costs"</f>
        <v>120% of allowable costs</v>
      </c>
      <c r="F21" s="70"/>
      <c r="G21" s="68"/>
      <c r="H21" s="69"/>
    </row>
    <row r="22" spans="2:8" x14ac:dyDescent="0.25">
      <c r="B22" s="10" t="s">
        <v>18</v>
      </c>
      <c r="C22" s="15">
        <f>C7-C21</f>
        <v>-6500000</v>
      </c>
      <c r="D22" s="12"/>
      <c r="E22" s="24"/>
      <c r="F22" s="70"/>
      <c r="G22" s="68"/>
      <c r="H22" s="69"/>
    </row>
    <row r="23" spans="2:8" x14ac:dyDescent="0.25">
      <c r="B23" s="10" t="s">
        <v>19</v>
      </c>
      <c r="C23" s="25">
        <f>C22/C21</f>
        <v>-5.4166666666666669E-2</v>
      </c>
      <c r="D23" s="12"/>
      <c r="F23" s="70"/>
      <c r="G23" s="68"/>
      <c r="H23" s="69"/>
    </row>
    <row r="24" spans="2:8" x14ac:dyDescent="0.25">
      <c r="B24" s="10"/>
      <c r="D24" s="12"/>
      <c r="F24" s="70"/>
      <c r="G24" s="68"/>
      <c r="H24" s="69"/>
    </row>
    <row r="25" spans="2:8" ht="15" x14ac:dyDescent="0.25">
      <c r="B25" s="26" t="s">
        <v>49</v>
      </c>
      <c r="D25" s="12"/>
      <c r="F25" s="70"/>
      <c r="G25" s="68"/>
      <c r="H25" s="69"/>
    </row>
    <row r="26" spans="2:8" x14ac:dyDescent="0.25">
      <c r="B26" s="10" t="s">
        <v>47</v>
      </c>
      <c r="C26" s="24">
        <f>C18-C13</f>
        <v>0.115</v>
      </c>
      <c r="D26" s="12"/>
      <c r="F26" s="70"/>
      <c r="G26" s="68"/>
      <c r="H26" s="69"/>
    </row>
    <row r="27" spans="2:8" x14ac:dyDescent="0.25">
      <c r="B27" s="10" t="s">
        <v>48</v>
      </c>
      <c r="C27" s="22">
        <f>(C8*C26)+C8</f>
        <v>111500000</v>
      </c>
      <c r="D27" s="12"/>
      <c r="F27" s="70"/>
      <c r="G27" s="68"/>
      <c r="H27" s="69"/>
    </row>
    <row r="28" spans="2:8" x14ac:dyDescent="0.25">
      <c r="B28" s="10" t="s">
        <v>20</v>
      </c>
      <c r="C28" s="22">
        <f>C27-C21</f>
        <v>-8500000</v>
      </c>
      <c r="D28" s="12"/>
      <c r="F28" s="70"/>
      <c r="G28" s="68"/>
      <c r="H28" s="69"/>
    </row>
    <row r="29" spans="2:8" x14ac:dyDescent="0.25">
      <c r="B29" s="10" t="s">
        <v>21</v>
      </c>
      <c r="C29" s="22">
        <f>C21+C28</f>
        <v>111500000</v>
      </c>
      <c r="D29" s="12"/>
      <c r="F29" s="70"/>
      <c r="G29" s="68"/>
      <c r="H29" s="69"/>
    </row>
    <row r="30" spans="2:8" ht="15" thickBot="1" x14ac:dyDescent="0.3">
      <c r="B30" s="27" t="s">
        <v>22</v>
      </c>
      <c r="C30" s="28">
        <f>C28/C21</f>
        <v>-7.0833333333333331E-2</v>
      </c>
      <c r="D30" s="29"/>
      <c r="F30" s="71"/>
      <c r="G30" s="72"/>
      <c r="H30" s="73"/>
    </row>
    <row r="31" spans="2:8" ht="15" thickTop="1" x14ac:dyDescent="0.25"/>
    <row r="32" spans="2:8" ht="15" x14ac:dyDescent="0.25">
      <c r="B32" s="30" t="s">
        <v>23</v>
      </c>
    </row>
    <row r="33" spans="1:8" ht="15" x14ac:dyDescent="0.25">
      <c r="B33" s="30" t="s">
        <v>24</v>
      </c>
    </row>
    <row r="34" spans="1:8" x14ac:dyDescent="0.25">
      <c r="A34" s="31"/>
      <c r="C34" s="2" t="str">
        <f>IF(C5="QDC",IF(C6&gt;=5000000,"Yes","No"),IF(C6&gt;=50000000,"Yes","No"))</f>
        <v>Yes</v>
      </c>
    </row>
    <row r="35" spans="1:8" ht="15" thickBot="1" x14ac:dyDescent="0.3">
      <c r="A35" s="31"/>
    </row>
    <row r="36" spans="1:8" ht="15.75" thickTop="1" x14ac:dyDescent="0.25">
      <c r="B36" s="32" t="s">
        <v>25</v>
      </c>
      <c r="C36" s="33"/>
      <c r="D36" s="34" t="str">
        <f>IF(C30&gt;C26,"Yes","No")</f>
        <v>No</v>
      </c>
      <c r="E36" s="35" t="s">
        <v>26</v>
      </c>
      <c r="F36" s="32" t="s">
        <v>27</v>
      </c>
      <c r="G36" s="36"/>
      <c r="H36" s="34" t="str">
        <f>IF(C21&gt;C27,"Yes","No")</f>
        <v>Yes</v>
      </c>
    </row>
    <row r="37" spans="1:8" x14ac:dyDescent="0.25">
      <c r="B37" s="37"/>
      <c r="C37" s="38"/>
      <c r="D37" s="39"/>
      <c r="F37" s="37"/>
      <c r="G37" s="40"/>
      <c r="H37" s="39"/>
    </row>
    <row r="38" spans="1:8" x14ac:dyDescent="0.25">
      <c r="B38" s="37" t="s">
        <v>28</v>
      </c>
      <c r="C38" s="64">
        <f>IF(D36="No",0,C30-C26)</f>
        <v>0</v>
      </c>
      <c r="D38" s="39"/>
      <c r="F38" s="37" t="s">
        <v>28</v>
      </c>
      <c r="G38" s="42">
        <f>IF(H36="No",0,C21-C27)</f>
        <v>8500000</v>
      </c>
      <c r="H38" s="39"/>
    </row>
    <row r="39" spans="1:8" ht="15" x14ac:dyDescent="0.25">
      <c r="B39" s="37" t="s">
        <v>30</v>
      </c>
      <c r="C39" s="42">
        <f>IF(D36="No",0,C21*(C26+5%))</f>
        <v>0</v>
      </c>
      <c r="D39" s="66" t="s">
        <v>31</v>
      </c>
      <c r="F39" s="37" t="s">
        <v>32</v>
      </c>
      <c r="G39" s="42">
        <f>IF(H36="No",0,(C27*(1+5%)-C27))</f>
        <v>5575000</v>
      </c>
      <c r="H39" s="41" t="s">
        <v>29</v>
      </c>
    </row>
    <row r="40" spans="1:8" ht="13.9" customHeight="1" x14ac:dyDescent="0.25">
      <c r="B40" s="37" t="s">
        <v>33</v>
      </c>
      <c r="C40" s="42">
        <f>IF(D36="No",0,C21*(C26+10%))</f>
        <v>0</v>
      </c>
      <c r="D40" s="66"/>
      <c r="F40" s="37"/>
      <c r="G40" s="43"/>
      <c r="H40" s="39"/>
    </row>
    <row r="41" spans="1:8" ht="15" x14ac:dyDescent="0.25">
      <c r="A41" s="22"/>
      <c r="B41" s="37" t="s">
        <v>34</v>
      </c>
      <c r="C41" s="42">
        <f>IF(D36="No",0,C21*(C26+15%))</f>
        <v>0</v>
      </c>
      <c r="D41" s="66"/>
      <c r="F41" s="37"/>
      <c r="G41" s="43"/>
      <c r="H41" s="44" t="s">
        <v>35</v>
      </c>
    </row>
    <row r="42" spans="1:8" ht="15" x14ac:dyDescent="0.25">
      <c r="B42" s="37" t="s">
        <v>36</v>
      </c>
      <c r="C42" s="45">
        <f>-IF(C34="No",0,IF(AND(C38&gt;=5%,C38&lt;10%),(C28-C39)*25%,IF(AND(C38&gt;=10%,C38&lt;15%),(C28-C40)*50%+(C40-C39)*25%,IF(C38&gt;=15%,(C28-C41)*75%+(C41-C40)*50%+(C40-C39)*25%,0))))</f>
        <v>0</v>
      </c>
      <c r="D42" s="41" t="s">
        <v>37</v>
      </c>
      <c r="F42" s="37" t="s">
        <v>36</v>
      </c>
      <c r="G42" s="45">
        <f>IF(C34="No",0,IF(H36="Yes",IF(G38&lt;G39,G38*25%,(G38-G39)*50%+G39*25%),0))</f>
        <v>2856250</v>
      </c>
      <c r="H42" s="39"/>
    </row>
    <row r="43" spans="1:8" ht="15.75" thickBot="1" x14ac:dyDescent="0.3">
      <c r="B43" s="46"/>
      <c r="C43" s="47"/>
      <c r="D43" s="48"/>
      <c r="F43" s="46"/>
      <c r="G43" s="47"/>
      <c r="H43" s="49"/>
    </row>
    <row r="44" spans="1:8" ht="15" thickTop="1" x14ac:dyDescent="0.25"/>
    <row r="45" spans="1:8" ht="15" x14ac:dyDescent="0.25">
      <c r="A45" s="31"/>
      <c r="B45" s="50" t="s">
        <v>38</v>
      </c>
      <c r="C45" s="51"/>
      <c r="D45" s="51"/>
      <c r="E45" s="51"/>
      <c r="F45" s="52" t="str">
        <f>IF((ABS(G42)+ABS(C42))&lt;250000,"No","Yes")</f>
        <v>Yes</v>
      </c>
    </row>
    <row r="46" spans="1:8" x14ac:dyDescent="0.25">
      <c r="B46" s="53"/>
      <c r="C46" s="43"/>
      <c r="D46" s="43"/>
      <c r="E46" s="43"/>
      <c r="F46" s="54"/>
    </row>
    <row r="47" spans="1:8" ht="15" x14ac:dyDescent="0.25">
      <c r="B47" s="55" t="s">
        <v>39</v>
      </c>
      <c r="C47" s="43"/>
      <c r="D47" s="43"/>
      <c r="E47" s="43"/>
      <c r="F47" s="54"/>
    </row>
    <row r="48" spans="1:8" ht="15" x14ac:dyDescent="0.25">
      <c r="B48" s="55" t="s">
        <v>40</v>
      </c>
      <c r="C48" s="43"/>
      <c r="D48" s="43"/>
      <c r="E48" s="43"/>
      <c r="F48" s="54" t="str">
        <f>IF(AND(C6&gt;=5000000,C6&lt;=50000000,NOT(C5="QSC")),"Yes","No")</f>
        <v>No</v>
      </c>
      <c r="G48" s="65"/>
    </row>
    <row r="49" spans="2:6" x14ac:dyDescent="0.25">
      <c r="B49" s="53"/>
      <c r="C49" s="43"/>
      <c r="D49" s="43"/>
      <c r="E49" s="43"/>
      <c r="F49" s="54"/>
    </row>
    <row r="50" spans="2:6" ht="15" x14ac:dyDescent="0.25">
      <c r="B50" s="56" t="s">
        <v>41</v>
      </c>
      <c r="C50" s="57"/>
      <c r="D50" s="57"/>
      <c r="E50" s="57"/>
      <c r="F50" s="58" t="s">
        <v>52</v>
      </c>
    </row>
    <row r="52" spans="2:6" ht="15.75" thickBot="1" x14ac:dyDescent="0.3">
      <c r="B52" s="50" t="s">
        <v>51</v>
      </c>
      <c r="C52" s="59">
        <f>IF(F45="No",0,IF(AND(F50="Yes",F48="Yes"),0,C42+G42))</f>
        <v>2856250</v>
      </c>
    </row>
    <row r="53" spans="2:6" ht="15" thickTop="1" x14ac:dyDescent="0.25">
      <c r="B53" s="53"/>
      <c r="C53" s="60"/>
    </row>
    <row r="54" spans="2:6" x14ac:dyDescent="0.25">
      <c r="B54" s="53" t="s">
        <v>17</v>
      </c>
      <c r="C54" s="61">
        <f>C21</f>
        <v>120000000</v>
      </c>
    </row>
    <row r="55" spans="2:6" x14ac:dyDescent="0.25">
      <c r="B55" s="53" t="s">
        <v>42</v>
      </c>
      <c r="C55" s="61">
        <f>C7+C52</f>
        <v>116356250</v>
      </c>
    </row>
    <row r="56" spans="2:6" x14ac:dyDescent="0.25">
      <c r="B56" s="53" t="s">
        <v>50</v>
      </c>
      <c r="C56" s="61">
        <f>C55-C54</f>
        <v>-3643750</v>
      </c>
    </row>
    <row r="57" spans="2:6" x14ac:dyDescent="0.25">
      <c r="B57" s="62" t="s">
        <v>43</v>
      </c>
      <c r="C57" s="63">
        <f>C56/C54</f>
        <v>-3.0364583333333334E-2</v>
      </c>
    </row>
  </sheetData>
  <mergeCells count="2">
    <mergeCell ref="D39:D41"/>
    <mergeCell ref="F6:H30"/>
  </mergeCells>
  <dataValidations count="2">
    <dataValidation type="list" allowBlank="1" showInputMessage="1" showErrorMessage="1" sqref="F50" xr:uid="{94C3A844-E0CD-4454-943C-0C1C64384EF2}">
      <formula1>"Yes,No"</formula1>
    </dataValidation>
    <dataValidation type="list" allowBlank="1" showInputMessage="1" showErrorMessage="1" sqref="C5" xr:uid="{F4916B1A-3E22-457E-B67C-5B5DDCF13E99}">
      <formula1>"QDC,QSC"</formula1>
    </dataValidation>
  </dataValidations>
  <pageMargins left="0.7" right="0.7" top="0.75" bottom="0.75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8033c51b-9e13-4064-a3ac-ab76bcc65b4f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BBCBD5FA3E96438443F8A095C31FD9" ma:contentTypeVersion="24" ma:contentTypeDescription="Create a new document." ma:contentTypeScope="" ma:versionID="ae513eb84ccd59a91ded1b73e070f904">
  <xsd:schema xmlns:xsd="http://www.w3.org/2001/XMLSchema" xmlns:xs="http://www.w3.org/2001/XMLSchema" xmlns:p="http://schemas.microsoft.com/office/2006/metadata/properties" xmlns:ns1="http://schemas.microsoft.com/sharepoint/v3" xmlns:ns2="e9fe5f61-9c4e-47d1-805d-0f848131e48f" xmlns:ns3="f6c0f5a9-fb1b-46f7-8164-1a62f2efa361" xmlns:ns4="40440d4a-70b4-4784-bb7e-c9faebffb0f0" xmlns:ns5="http://schemas.microsoft.com/sharepoint/v4" targetNamespace="http://schemas.microsoft.com/office/2006/metadata/properties" ma:root="true" ma:fieldsID="a3aa2ade1f5bcd5b48b71d0a7ef05816" ns1:_="" ns2:_="" ns3:_="" ns4:_="" ns5:_="">
    <xsd:import namespace="http://schemas.microsoft.com/sharepoint/v3"/>
    <xsd:import namespace="e9fe5f61-9c4e-47d1-805d-0f848131e48f"/>
    <xsd:import namespace="f6c0f5a9-fb1b-46f7-8164-1a62f2efa361"/>
    <xsd:import namespace="40440d4a-70b4-4784-bb7e-c9faebffb0f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ensitivity" minOccurs="0"/>
                <xsd:element ref="ns3:TaxCatchAll" minOccurs="0"/>
                <xsd:element ref="ns3:TaxCatchAllLabel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4:SharingHintHash" minOccurs="0"/>
                <xsd:element ref="ns4:SharedWithDetails" minOccurs="0"/>
                <xsd:element ref="ns4:LastSharedByUser" minOccurs="0"/>
                <xsd:element ref="ns4:LastSharedByTime" minOccurs="0"/>
                <xsd:element ref="ns4:SharedWithUsers" minOccurs="0"/>
                <xsd:element ref="ns2:MediaServiceMetadata" minOccurs="0"/>
                <xsd:element ref="ns2:SSRO_x0020_Shared_x0020_Documents_x0020_Retention_x0020_Date_x0020_Workflow" minOccurs="0"/>
                <xsd:element ref="ns5:IconOverlay" minOccurs="0"/>
                <xsd:element ref="ns1:_vti_ItemDeclaredRecord" minOccurs="0"/>
                <xsd:element ref="ns1:_vti_ItemHoldRecordStatu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e5f61-9c4e-47d1-805d-0f848131e48f" elementFormDefault="qualified">
    <xsd:import namespace="http://schemas.microsoft.com/office/2006/documentManagement/types"/>
    <xsd:import namespace="http://schemas.microsoft.com/office/infopath/2007/PartnerControls"/>
    <xsd:element name="Sensitivity" ma:index="8" nillable="true" ma:displayName="Sensitivity" ma:format="Dropdown" ma:internalName="Sensitivity">
      <xsd:simpleType>
        <xsd:restriction base="dms:Choice">
          <xsd:enumeration value="Personal"/>
          <xsd:enumeration value="OFFICIAL Public"/>
          <xsd:enumeration value="OFFICIAL External"/>
          <xsd:enumeration value="OFFICIAL Internal"/>
          <xsd:enumeration value="Restriction Removed"/>
          <xsd:enumeration value="O-SENSITIVE Corporate"/>
          <xsd:enumeration value="O-SENSITIVE Regime"/>
          <xsd:enumeration value="OS-COMMERCIAL Corporate"/>
          <xsd:enumeration value="OS-COMMERCIAL Regime"/>
        </xsd:restriction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SSRO_x0020_Shared_x0020_Documents_x0020_Retention_x0020_Date_x0020_Workflow" ma:index="22" nillable="true" ma:displayName="SSRO Shared Documents Retention Date Workflow" ma:internalName="SSRO_x0020_Shared_x0020_Documents_x0020_Retention_x0020_Date_x0020_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0f5a9-fb1b-46f7-8164-1a62f2efa36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59f6b96-5a45-41cb-afaa-a3ee593a01c5}" ma:internalName="TaxCatchAll" ma:showField="CatchAllData" ma:web="40440d4a-70b4-4784-bb7e-c9faebffb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b59f6b96-5a45-41cb-afaa-a3ee593a01c5}" ma:internalName="TaxCatchAllLabel" ma:readOnly="true" ma:showField="CatchAllDataLabel" ma:web="40440d4a-70b4-4784-bb7e-c9faebffb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40d4a-70b4-4784-bb7e-c9faebffb0f0" elementFormDefault="qualified">
    <xsd:import namespace="http://schemas.microsoft.com/office/2006/documentManagement/types"/>
    <xsd:import namespace="http://schemas.microsoft.com/office/infopath/2007/PartnerControls"/>
    <xsd:element name="SharingHintHash" ma:index="16" nillable="true" ma:displayName="Sharing Hint Hash" ma:internalName="SharingHintHash" ma:readOnly="true">
      <xsd:simpleType>
        <xsd:restriction base="dms:Text"/>
      </xsd:simple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0f5a9-fb1b-46f7-8164-1a62f2efa361">
      <Value>2</Value>
    </TaxCatchAll>
    <IconOverlay xmlns="http://schemas.microsoft.com/sharepoint/v4" xsi:nil="true"/>
    <Sensitivity xmlns="e9fe5f61-9c4e-47d1-805d-0f848131e48f" xsi:nil="true"/>
    <SSRO_x0020_Shared_x0020_Documents_x0020_Retention_x0020_Date_x0020_Workflow xmlns="e9fe5f61-9c4e-47d1-805d-0f848131e48f">
      <Url xsi:nil="true"/>
      <Description xsi:nil="true"/>
    </SSRO_x0020_Shared_x0020_Documents_x0020_Retention_x0020_Date_x0020_Workflow>
    <SharedWithUsers xmlns="40440d4a-70b4-4784-bb7e-c9faebffb0f0">
      <UserInfo>
        <DisplayName/>
        <AccountId xsi:nil="true"/>
        <AccountType/>
      </UserInfo>
    </SharedWithUsers>
    <_Flow_SignoffStatus xmlns="e9fe5f61-9c4e-47d1-805d-0f848131e48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A52CD-6560-4AA8-A13E-7763AE71373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B7EF06E-0B7F-4905-A9DB-3F57583D7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fe5f61-9c4e-47d1-805d-0f848131e48f"/>
    <ds:schemaRef ds:uri="f6c0f5a9-fb1b-46f7-8164-1a62f2efa361"/>
    <ds:schemaRef ds:uri="40440d4a-70b4-4784-bb7e-c9faebffb0f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2E59F7-3E01-454C-B31F-9A9F2DEFBBA2}">
  <ds:schemaRefs>
    <ds:schemaRef ds:uri="f6c0f5a9-fb1b-46f7-8164-1a62f2efa361"/>
    <ds:schemaRef ds:uri="http://purl.org/dc/elements/1.1/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0440d4a-70b4-4784-bb7e-c9faebffb0f0"/>
    <ds:schemaRef ds:uri="http://schemas.microsoft.com/sharepoint/v4"/>
    <ds:schemaRef ds:uri="e9fe5f61-9c4e-47d1-805d-0f848131e48f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0C7DEFD-60F2-49A3-A480-10F6597153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Firm Price</vt:lpstr>
      <vt:lpstr>'Firm Price'!Print_Area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Wallis</dc:creator>
  <cp:keywords/>
  <dc:description/>
  <cp:lastModifiedBy>Susan Richardson</cp:lastModifiedBy>
  <cp:revision/>
  <dcterms:created xsi:type="dcterms:W3CDTF">2018-12-04T12:14:17Z</dcterms:created>
  <dcterms:modified xsi:type="dcterms:W3CDTF">2024-09-23T11:13:32Z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52982-4722-49f1-b336-b6793ba143ee_Enabled">
    <vt:lpwstr>True</vt:lpwstr>
  </property>
  <property fmtid="{D5CDD505-2E9C-101B-9397-08002B2CF9AE}" pid="3" name="MSIP_Label_a4652982-4722-49f1-b336-b6793ba143ee_SiteId">
    <vt:lpwstr>fa810b6b-7dd2-4340-934f-96091d79eacd</vt:lpwstr>
  </property>
  <property fmtid="{D5CDD505-2E9C-101B-9397-08002B2CF9AE}" pid="4" name="MSIP_Label_a4652982-4722-49f1-b336-b6793ba143ee_Owner">
    <vt:lpwstr>Adrian.Wallis@ssro.gov.uk</vt:lpwstr>
  </property>
  <property fmtid="{D5CDD505-2E9C-101B-9397-08002B2CF9AE}" pid="5" name="MSIP_Label_a4652982-4722-49f1-b336-b6793ba143ee_SetDate">
    <vt:lpwstr>2018-12-04T12:14:31.3471727Z</vt:lpwstr>
  </property>
  <property fmtid="{D5CDD505-2E9C-101B-9397-08002B2CF9AE}" pid="6" name="MSIP_Label_a4652982-4722-49f1-b336-b6793ba143ee_Name">
    <vt:lpwstr>OFFICIAL-Int</vt:lpwstr>
  </property>
  <property fmtid="{D5CDD505-2E9C-101B-9397-08002B2CF9AE}" pid="7" name="MSIP_Label_a4652982-4722-49f1-b336-b6793ba143ee_Application">
    <vt:lpwstr>Microsoft Azure Information Protection</vt:lpwstr>
  </property>
  <property fmtid="{D5CDD505-2E9C-101B-9397-08002B2CF9AE}" pid="8" name="MSIP_Label_a4652982-4722-49f1-b336-b6793ba143ee_Extended_MSFT_Method">
    <vt:lpwstr>Manual</vt:lpwstr>
  </property>
  <property fmtid="{D5CDD505-2E9C-101B-9397-08002B2CF9AE}" pid="9" name="Sensitivity">
    <vt:lpwstr>OFFICIAL-Int</vt:lpwstr>
  </property>
  <property fmtid="{D5CDD505-2E9C-101B-9397-08002B2CF9AE}" pid="10" name="ContentTypeId">
    <vt:lpwstr>0x0101008ABBCBD5FA3E96438443F8A095C31FD9</vt:lpwstr>
  </property>
  <property fmtid="{D5CDD505-2E9C-101B-9397-08002B2CF9AE}" pid="11" name="Record Type">
    <vt:lpwstr>2;#General|039a3792-0c82-43f3-a689-1bfec2571e99</vt:lpwstr>
  </property>
  <property fmtid="{D5CDD505-2E9C-101B-9397-08002B2CF9AE}" pid="12" name="AuthorIds_UIVersion_9216">
    <vt:lpwstr>1114</vt:lpwstr>
  </property>
  <property fmtid="{D5CDD505-2E9C-101B-9397-08002B2CF9AE}" pid="13" name="AuthorIds_UIVersion_9728">
    <vt:lpwstr>1114</vt:lpwstr>
  </property>
  <property fmtid="{D5CDD505-2E9C-101B-9397-08002B2CF9AE}" pid="14" name="AuthorIds_UIVersion_10752">
    <vt:lpwstr>1114</vt:lpwstr>
  </property>
  <property fmtid="{D5CDD505-2E9C-101B-9397-08002B2CF9AE}" pid="15" name="AuthorIds_UIVersion_11264">
    <vt:lpwstr>248</vt:lpwstr>
  </property>
  <property fmtid="{D5CDD505-2E9C-101B-9397-08002B2CF9AE}" pid="16" name="AuthorIds_UIVersion_11776">
    <vt:lpwstr>1114</vt:lpwstr>
  </property>
  <property fmtid="{D5CDD505-2E9C-101B-9397-08002B2CF9AE}" pid="17" name="AuthorIds_UIVersion_12800">
    <vt:lpwstr>1114</vt:lpwstr>
  </property>
  <property fmtid="{D5CDD505-2E9C-101B-9397-08002B2CF9AE}" pid="18" name="AuthorIds_UIVersion_13824">
    <vt:lpwstr>1114</vt:lpwstr>
  </property>
  <property fmtid="{D5CDD505-2E9C-101B-9397-08002B2CF9AE}" pid="19" name="AuthorIds_UIVersion_14336">
    <vt:lpwstr>1114</vt:lpwstr>
  </property>
  <property fmtid="{D5CDD505-2E9C-101B-9397-08002B2CF9AE}" pid="20" name="AuthorIds_UIVersion_14848">
    <vt:lpwstr>1114</vt:lpwstr>
  </property>
  <property fmtid="{D5CDD505-2E9C-101B-9397-08002B2CF9AE}" pid="21" name="AuthorIds_UIVersion_15360">
    <vt:lpwstr>1114</vt:lpwstr>
  </property>
  <property fmtid="{D5CDD505-2E9C-101B-9397-08002B2CF9AE}" pid="22" name="c4579692400644ce876cf1278b0445c5">
    <vt:lpwstr>General|039a3792-0c82-43f3-a689-1bfec2571e99</vt:lpwstr>
  </property>
  <property fmtid="{D5CDD505-2E9C-101B-9397-08002B2CF9AE}" pid="23" name="Retention Period">
    <vt:lpwstr>Custom</vt:lpwstr>
  </property>
</Properties>
</file>